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-4140" yWindow="0" windowWidth="9810" windowHeight="1305"/>
  </bookViews>
  <sheets>
    <sheet name="Company 1 NPV" sheetId="5" r:id="rId1"/>
    <sheet name="Fuel" sheetId="8" r:id="rId2"/>
    <sheet name="CPI - O&amp;M" sheetId="9" r:id="rId3"/>
    <sheet name="CPI - Trucking" sheetId="10" r:id="rId4"/>
    <sheet name="Utilities" sheetId="11" r:id="rId5"/>
    <sheet name="Bid Workbook" sheetId="3" state="hidden" r:id="rId6"/>
    <sheet name="pricing thoughts" sheetId="2" state="hidden" r:id="rId7"/>
  </sheets>
  <definedNames>
    <definedName name="_xlnm.Print_Area" localSheetId="0">'Company 1 NPV'!$A$1:$J$35</definedName>
  </definedNames>
  <calcPr calcId="162913"/>
  <customWorkbookViews>
    <customWorkbookView name="Woyak, Nathan J. - Personal View" guid="{B554AEE4-9EC0-40B9-85CC-1243702E4007}" mergeInterval="0" personalView="1" maximized="1" windowWidth="1680" windowHeight="777" activeSheetId="1"/>
    <customWorkbookView name="Kowalski, David J. - Personal View" guid="{8E939492-5022-4D11-AD1D-BA494C4B16B7}" mergeInterval="0" personalView="1" maximized="1" windowWidth="1774" windowHeight="668" activeSheetId="1"/>
    <customWorkbookView name="collbw2 - Personal View" guid="{FB7E84AB-E149-41CB-817A-869C997214DD}" mergeInterval="0" personalView="1" maximized="1" windowWidth="1290" windowHeight="477" activeSheetId="1"/>
  </customWorkbookViews>
</workbook>
</file>

<file path=xl/calcChain.xml><?xml version="1.0" encoding="utf-8"?>
<calcChain xmlns="http://schemas.openxmlformats.org/spreadsheetml/2006/main">
  <c r="I31" i="5" l="1"/>
  <c r="J7" i="5"/>
  <c r="H27" i="5"/>
  <c r="G27" i="5"/>
  <c r="F27" i="5"/>
  <c r="E27" i="5"/>
  <c r="D27" i="5"/>
  <c r="C27" i="5"/>
  <c r="E12" i="5"/>
  <c r="C7" i="5" l="1"/>
  <c r="I7" i="5" l="1"/>
  <c r="H21" i="5"/>
  <c r="H15" i="5"/>
  <c r="H8" i="5"/>
  <c r="H7" i="5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H9" i="5"/>
  <c r="H10" i="5" s="1"/>
  <c r="H11" i="5" s="1"/>
  <c r="H12" i="5" s="1"/>
  <c r="H13" i="5" s="1"/>
  <c r="H14" i="5" s="1"/>
  <c r="H16" i="5" s="1"/>
  <c r="H17" i="5" s="1"/>
  <c r="H18" i="5" s="1"/>
  <c r="H19" i="5" s="1"/>
  <c r="H20" i="5" s="1"/>
  <c r="H22" i="5" s="1"/>
  <c r="H23" i="5" s="1"/>
  <c r="H24" i="5" s="1"/>
  <c r="H25" i="5" s="1"/>
  <c r="H26" i="5" s="1"/>
  <c r="F7" i="5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E8" i="5"/>
  <c r="E9" i="5" s="1"/>
  <c r="E10" i="5" s="1"/>
  <c r="E11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7" i="5"/>
  <c r="I2" i="5"/>
  <c r="I8" i="5" l="1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I9" i="5" l="1"/>
  <c r="J9" i="5" s="1"/>
  <c r="I10" i="5" l="1"/>
  <c r="J10" i="5" s="1"/>
  <c r="I12" i="5" l="1"/>
  <c r="J12" i="5" s="1"/>
  <c r="I13" i="5" l="1"/>
  <c r="J13" i="5" s="1"/>
  <c r="I15" i="5" l="1"/>
  <c r="J15" i="5" s="1"/>
  <c r="I16" i="5" l="1"/>
  <c r="J16" i="5" s="1"/>
  <c r="I18" i="5" l="1"/>
  <c r="J18" i="5" s="1"/>
  <c r="G16" i="2"/>
  <c r="F16" i="2"/>
  <c r="E16" i="2"/>
  <c r="D16" i="2"/>
  <c r="G14" i="2"/>
  <c r="F14" i="2"/>
  <c r="E14" i="2"/>
  <c r="D14" i="2"/>
  <c r="G13" i="2"/>
  <c r="F13" i="2"/>
  <c r="E13" i="2"/>
  <c r="G12" i="2"/>
  <c r="F12" i="2"/>
  <c r="E12" i="2"/>
  <c r="D12" i="2"/>
  <c r="G11" i="2"/>
  <c r="F11" i="2"/>
  <c r="E11" i="2"/>
  <c r="D11" i="2"/>
  <c r="G10" i="2"/>
  <c r="F10" i="2"/>
  <c r="E10" i="2"/>
  <c r="G9" i="2"/>
  <c r="F9" i="2"/>
  <c r="E9" i="2"/>
  <c r="G8" i="2"/>
  <c r="F8" i="2"/>
  <c r="E8" i="2"/>
  <c r="G6" i="2"/>
  <c r="F6" i="2"/>
  <c r="E6" i="2"/>
  <c r="D6" i="2"/>
  <c r="C5" i="2"/>
  <c r="C4" i="2"/>
  <c r="C3" i="2"/>
  <c r="C21" i="3"/>
  <c r="L20" i="3"/>
  <c r="K20" i="3"/>
  <c r="J20" i="3"/>
  <c r="I20" i="3"/>
  <c r="H20" i="3"/>
  <c r="G20" i="3"/>
  <c r="F20" i="3"/>
  <c r="E20" i="3"/>
  <c r="D20" i="3"/>
  <c r="C20" i="3"/>
  <c r="L19" i="3"/>
  <c r="K19" i="3"/>
  <c r="J19" i="3"/>
  <c r="I19" i="3"/>
  <c r="H19" i="3"/>
  <c r="G19" i="3"/>
  <c r="F19" i="3"/>
  <c r="E19" i="3"/>
  <c r="D19" i="3"/>
  <c r="C19" i="3"/>
  <c r="L18" i="3"/>
  <c r="K18" i="3"/>
  <c r="J18" i="3"/>
  <c r="I18" i="3"/>
  <c r="H18" i="3"/>
  <c r="G18" i="3"/>
  <c r="F18" i="3"/>
  <c r="E18" i="3"/>
  <c r="D18" i="3"/>
  <c r="C18" i="3"/>
  <c r="E13" i="3"/>
  <c r="D13" i="3"/>
  <c r="E12" i="3"/>
  <c r="D12" i="3"/>
  <c r="E11" i="3"/>
  <c r="D11" i="3"/>
  <c r="D4" i="3"/>
  <c r="D3" i="3"/>
  <c r="D2" i="3"/>
  <c r="I19" i="5" l="1"/>
  <c r="J19" i="5" s="1"/>
  <c r="I21" i="5" l="1"/>
  <c r="J21" i="5" s="1"/>
  <c r="I22" i="5" l="1"/>
  <c r="J22" i="5" s="1"/>
  <c r="I24" i="5" l="1"/>
  <c r="J24" i="5" s="1"/>
  <c r="I25" i="5" l="1"/>
  <c r="J25" i="5" s="1"/>
  <c r="I14" i="5"/>
  <c r="J14" i="5" s="1"/>
  <c r="I11" i="5"/>
  <c r="J11" i="5" s="1"/>
  <c r="I23" i="5"/>
  <c r="J23" i="5" s="1"/>
  <c r="I17" i="5"/>
  <c r="J17" i="5" s="1"/>
  <c r="I20" i="5"/>
  <c r="J20" i="5" s="1"/>
  <c r="J8" i="5"/>
  <c r="I26" i="5"/>
  <c r="J26" i="5" s="1"/>
  <c r="J27" i="5" l="1"/>
</calcChain>
</file>

<file path=xl/sharedStrings.xml><?xml version="1.0" encoding="utf-8"?>
<sst xmlns="http://schemas.openxmlformats.org/spreadsheetml/2006/main" count="117" uniqueCount="98">
  <si>
    <t>Total</t>
  </si>
  <si>
    <t>Cake - Class B - unclassified no metal</t>
  </si>
  <si>
    <t>Cake - Class B - meets specification (meets land appl)</t>
  </si>
  <si>
    <t>Landfill</t>
  </si>
  <si>
    <t>wet tons / day</t>
  </si>
  <si>
    <t>wet tons / year</t>
  </si>
  <si>
    <t>CPI</t>
  </si>
  <si>
    <t>10 years of disposal</t>
  </si>
  <si>
    <t>Per year</t>
  </si>
  <si>
    <t>Land Application Model</t>
  </si>
  <si>
    <t>Cake - has metals</t>
  </si>
  <si>
    <t>Need $ / ton to landfill</t>
  </si>
  <si>
    <t>Company to build facility</t>
  </si>
  <si>
    <t>Years for Contract</t>
  </si>
  <si>
    <t>Total Bid Price (evaluated 70pts)</t>
  </si>
  <si>
    <t>Company to Landfill</t>
  </si>
  <si>
    <t>Company to use existing facility and land application</t>
  </si>
  <si>
    <t>Total Price / Ton removed</t>
  </si>
  <si>
    <t>applied to variable</t>
  </si>
  <si>
    <t>Capital Cost / Ton basis</t>
  </si>
  <si>
    <t>CPI - Overhead on per Ton basis</t>
  </si>
  <si>
    <t>Fuel - Variable Cost / Ton</t>
  </si>
  <si>
    <t xml:space="preserve">fuel price - </t>
  </si>
  <si>
    <t>Unit Price Build Up</t>
  </si>
  <si>
    <t>Capital</t>
  </si>
  <si>
    <t>Fuel</t>
  </si>
  <si>
    <t>Labor</t>
  </si>
  <si>
    <t>wet tone / 10 contract</t>
  </si>
  <si>
    <t>BLS - CPI 10 year forecast average</t>
  </si>
  <si>
    <t>Fuel - Index 10 year forecast average</t>
  </si>
  <si>
    <t>Companies Alloted Capital Investement (Net Present Value)</t>
  </si>
  <si>
    <t>Annual Dollars to Labor &amp; Overhead</t>
  </si>
  <si>
    <t>Annual Dollars to Fuel</t>
  </si>
  <si>
    <t>Price Adjustment Schedule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</si>
  <si>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</si>
  <si>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</si>
  <si>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</si>
  <si>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</si>
  <si>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</si>
  <si>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</si>
  <si>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</si>
  <si>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</si>
  <si>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</si>
  <si>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</si>
  <si>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Populated by supplier</t>
  </si>
  <si>
    <t>Populated by JEA</t>
  </si>
  <si>
    <t>Calculations</t>
  </si>
  <si>
    <t>Cost of Money (rate or r)</t>
  </si>
  <si>
    <t>Total Annual Forecast Cost</t>
  </si>
  <si>
    <t>% of Cost / Ton
variable only</t>
  </si>
  <si>
    <t>% of cost ton Fixed and variable</t>
  </si>
  <si>
    <t>Number of Periods (n) = number of years</t>
  </si>
  <si>
    <t>NPV (evaluated bid price)</t>
  </si>
  <si>
    <t>Annual Dollars to Capital
(company provide)</t>
  </si>
  <si>
    <t>Fixed Price / Ton</t>
  </si>
  <si>
    <t>Trucking / Ton</t>
  </si>
  <si>
    <t>Energy Consumption / Ton</t>
  </si>
  <si>
    <t>Trucking Fuel Price / Ton</t>
  </si>
  <si>
    <t>Wet tons/day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</si>
  <si>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</si>
  <si>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</si>
  <si>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</si>
  <si>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</si>
  <si>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</si>
  <si>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</si>
  <si>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</si>
  <si>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</si>
  <si>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</si>
  <si>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</si>
  <si>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Escalation Adjusted Price / Ton Annually</t>
  </si>
  <si>
    <t>Escalated Cost to JEA</t>
  </si>
  <si>
    <t>Fixed</t>
  </si>
  <si>
    <t>Trucking Price / Ton</t>
  </si>
  <si>
    <t>Operations</t>
  </si>
  <si>
    <t>Price Adjustment Factor</t>
  </si>
  <si>
    <t>Base Bid / price / Ton</t>
  </si>
  <si>
    <t>JEA Discount Rate</t>
  </si>
  <si>
    <t>Labor / Facility Operations / Ton</t>
  </si>
  <si>
    <t xml:space="preserve">CPI </t>
  </si>
  <si>
    <t>Gas Index or utility index</t>
  </si>
  <si>
    <t>Public Fuel Index</t>
  </si>
  <si>
    <t>N / A</t>
  </si>
  <si>
    <t>This Amount will be used in evaluating price points</t>
  </si>
  <si>
    <t>Companies will populate the cells in yellow with fixed and variable prices / ton as applicable.  The price adjustment factors and discount rates will be provided by JEA.</t>
  </si>
  <si>
    <t>*  JEA has provided 20 years of estimated biosolids production.</t>
  </si>
  <si>
    <t>*  JEA will evaluate Best Value to JEA for Price Points evaluation</t>
  </si>
  <si>
    <t>*  Any capital investment shall be included in the Price / Ton (annual dollars to capital are requested for reference).</t>
  </si>
  <si>
    <t>*  Bidder shall include any assumptions, fixed and variable costs, and any price adjustments.</t>
  </si>
  <si>
    <t>*  JEA has provided examples of price adjustment indices that may be acceptable.</t>
  </si>
  <si>
    <t>*  JEA will perform NPV calculations for Price Points</t>
  </si>
  <si>
    <t>NPV Amount
(discounted Cost)</t>
  </si>
  <si>
    <t>Escalated Cost</t>
  </si>
  <si>
    <t>Capital
Price / Ton</t>
  </si>
  <si>
    <t>Year 1 (2021 - EST)</t>
  </si>
  <si>
    <t>Wet tons/year
4 WRF's</t>
  </si>
  <si>
    <t>Price Adjustment Index</t>
  </si>
  <si>
    <t xml:space="preserve">*  Buckman biosolids projections using post aerobic digestion (PAD) is expected to begin in January 2022, this will reduce the dry solid mass be a minimum of 5% from 2022 onward. </t>
  </si>
  <si>
    <t>Energy Consumption (Nat.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</si>
</sst>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2" applyFont="1" applyAlignment="1">
      <alignment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3" applyFont="1" applyAlignment="1">
      <alignment horizontal="center" wrapText="1"/>
    </xf>
    <xf numFmtId="8" fontId="0" fillId="0" borderId="0" xfId="2" applyNumberFormat="1" applyFont="1" applyAlignment="1">
      <alignment wrapText="1"/>
    </xf>
    <xf numFmtId="9" fontId="0" fillId="0" borderId="0" xfId="3" applyFont="1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wrapText="1"/>
    </xf>
    <xf numFmtId="44" fontId="0" fillId="5" borderId="0" xfId="2" applyFont="1" applyFill="1" applyAlignment="1">
      <alignment horizontal="center" wrapText="1"/>
    </xf>
    <xf numFmtId="44" fontId="0" fillId="6" borderId="0" xfId="0" applyNumberFormat="1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 wrapText="1"/>
    </xf>
    <xf numFmtId="44" fontId="0" fillId="4" borderId="0" xfId="2" applyFont="1" applyFill="1" applyAlignment="1">
      <alignment horizontal="center" wrapText="1"/>
    </xf>
    <xf numFmtId="0" fontId="1" fillId="4" borderId="0" xfId="0" applyFont="1" applyFill="1"/>
    <xf numFmtId="0" fontId="1" fillId="4" borderId="0" xfId="0" applyFont="1" applyFill="1" applyAlignment="1">
      <alignment horizontal="center" wrapText="1"/>
    </xf>
    <xf numFmtId="44" fontId="1" fillId="4" borderId="0" xfId="2" applyFont="1" applyFill="1" applyAlignment="1">
      <alignment horizontal="center" wrapText="1"/>
    </xf>
    <xf numFmtId="44" fontId="0" fillId="0" borderId="0" xfId="2" applyFont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9" fontId="0" fillId="7" borderId="0" xfId="3" applyFont="1" applyFill="1" applyAlignment="1">
      <alignment horizontal="center" wrapText="1"/>
    </xf>
    <xf numFmtId="9" fontId="0" fillId="7" borderId="0" xfId="0" applyNumberFormat="1" applyFill="1" applyAlignment="1">
      <alignment wrapText="1"/>
    </xf>
    <xf numFmtId="0" fontId="0" fillId="7" borderId="0" xfId="0" applyFill="1"/>
    <xf numFmtId="44" fontId="0" fillId="7" borderId="0" xfId="2" applyFont="1" applyFill="1" applyAlignment="1">
      <alignment horizontal="center" wrapText="1"/>
    </xf>
    <xf numFmtId="0" fontId="0" fillId="8" borderId="0" xfId="0" applyFill="1" applyAlignment="1">
      <alignment horizontal="center" wrapText="1"/>
    </xf>
    <xf numFmtId="9" fontId="0" fillId="8" borderId="0" xfId="0" applyNumberFormat="1" applyFill="1" applyAlignment="1">
      <alignment horizontal="center" wrapText="1"/>
    </xf>
    <xf numFmtId="9" fontId="0" fillId="8" borderId="0" xfId="0" applyNumberForma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 vertical="center" wrapText="1"/>
    </xf>
    <xf numFmtId="44" fontId="0" fillId="8" borderId="0" xfId="2" applyFont="1" applyFill="1" applyAlignment="1">
      <alignment wrapText="1"/>
    </xf>
    <xf numFmtId="9" fontId="0" fillId="0" borderId="0" xfId="3" applyFont="1" applyAlignment="1">
      <alignment horizontal="center" vertical="center" wrapText="1"/>
    </xf>
    <xf numFmtId="9" fontId="0" fillId="8" borderId="0" xfId="3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9" fontId="0" fillId="4" borderId="0" xfId="3" applyFont="1" applyFill="1" applyAlignment="1">
      <alignment horizontal="center" vertical="center" wrapText="1"/>
    </xf>
    <xf numFmtId="44" fontId="0" fillId="4" borderId="0" xfId="2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" xfId="3" applyFont="1" applyFill="1" applyBorder="1" applyAlignment="1">
      <alignment horizontal="center" vertical="center" wrapText="1"/>
    </xf>
    <xf numFmtId="9" fontId="0" fillId="7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9" fontId="0" fillId="7" borderId="1" xfId="3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4" fontId="0" fillId="5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44" fontId="1" fillId="3" borderId="1" xfId="2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4" fontId="0" fillId="4" borderId="0" xfId="0" applyNumberFormat="1" applyFill="1" applyAlignment="1">
      <alignment horizontal="center" vertical="center" wrapText="1"/>
    </xf>
    <xf numFmtId="44" fontId="1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3" fontId="0" fillId="7" borderId="1" xfId="1" applyFont="1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center" vertical="center" wrapText="1"/>
    </xf>
    <xf numFmtId="164" fontId="1" fillId="7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/>
    </xf>
    <xf numFmtId="43" fontId="1" fillId="7" borderId="1" xfId="1" applyFont="1" applyFill="1" applyBorder="1" applyAlignment="1">
      <alignment vertical="center" wrapText="1"/>
    </xf>
    <xf numFmtId="44" fontId="0" fillId="5" borderId="1" xfId="2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44" fontId="1" fillId="3" borderId="4" xfId="2" applyFont="1" applyFill="1" applyBorder="1" applyAlignment="1">
      <alignment horizontal="center" vertical="center" wrapText="1"/>
    </xf>
    <xf numFmtId="9" fontId="0" fillId="5" borderId="1" xfId="3" applyFont="1" applyFill="1" applyBorder="1" applyAlignment="1">
      <alignment horizontal="center" vertical="center"/>
    </xf>
    <xf numFmtId="8" fontId="1" fillId="4" borderId="1" xfId="2" applyNumberFormat="1" applyFont="1" applyFill="1" applyBorder="1" applyAlignment="1">
      <alignment horizontal="center" vertical="center" wrapText="1"/>
    </xf>
    <xf numFmtId="44" fontId="0" fillId="3" borderId="1" xfId="2" applyFont="1" applyFill="1" applyBorder="1" applyAlignment="1">
      <alignment horizontal="center" vertical="center" wrapText="1"/>
    </xf>
    <xf numFmtId="44" fontId="1" fillId="5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4" borderId="0" xfId="0" applyFont="1" applyFill="1" applyBorder="1" applyAlignment="1">
      <alignment horizontal="right" vertical="center"/>
    </xf>
    <xf numFmtId="44" fontId="0" fillId="9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9" fontId="7" fillId="11" borderId="1" xfId="0" applyNumberFormat="1" applyFont="1" applyFill="1" applyBorder="1" applyAlignment="1">
      <alignment horizontal="center" vertical="center"/>
    </xf>
    <xf numFmtId="9" fontId="7" fillId="11" borderId="1" xfId="3" applyFont="1" applyFill="1" applyBorder="1" applyAlignment="1">
      <alignment horizontal="center" vertical="center" wrapText="1"/>
    </xf>
    <xf numFmtId="10" fontId="0" fillId="4" borderId="1" xfId="3" applyNumberFormat="1" applyFont="1" applyFill="1" applyBorder="1" applyAlignment="1">
      <alignment horizontal="center" vertical="center" wrapText="1"/>
    </xf>
    <xf numFmtId="44" fontId="0" fillId="4" borderId="1" xfId="0" applyNumberForma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vertical="center" wrapText="1"/>
    </xf>
    <xf numFmtId="44" fontId="0" fillId="3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44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4" fontId="0" fillId="10" borderId="1" xfId="2" applyNumberFormat="1" applyFont="1" applyFill="1" applyBorder="1" applyAlignment="1">
      <alignment wrapText="1"/>
    </xf>
    <xf numFmtId="44" fontId="0" fillId="10" borderId="1" xfId="0" applyNumberFormat="1" applyFill="1" applyBorder="1" applyAlignment="1">
      <alignment wrapText="1"/>
    </xf>
    <xf numFmtId="44" fontId="0" fillId="10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/>
    </xf>
    <xf numFmtId="4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8" fontId="0" fillId="0" borderId="0" xfId="0" applyNumberFormat="1" applyAlignment="1">
      <alignment horizontal="center" vertical="center"/>
    </xf>
    <xf numFmtId="44" fontId="1" fillId="4" borderId="1" xfId="2" applyFont="1" applyFill="1" applyBorder="1" applyAlignment="1">
      <alignment horizontal="center" vertical="center"/>
    </xf>
    <xf numFmtId="165" fontId="1" fillId="1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8" fontId="5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4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E697"/>
      <color rgb="FFFFFF99"/>
      <color rgb="FFE7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showRuler="0" view="pageLayout" topLeftCell="A4" zoomScaleNormal="80" zoomScaleSheetLayoutView="90" workbookViewId="0">
      <selection activeCell="B7" sqref="B7:B26"/>
    </sheetView>
  </sheetViews>
  <sheetFormatPr defaultColWidth="9.140625" defaultRowHeight="15" x14ac:dyDescent="0.25"/>
  <cols>
    <col min="1" max="1" width="20.7109375" style="76" customWidth="1"/>
    <col min="2" max="2" width="11.140625" style="76" customWidth="1"/>
    <col min="3" max="3" width="12.5703125" style="6" customWidth="1"/>
    <col min="4" max="4" width="17.7109375" style="67" customWidth="1"/>
    <col min="5" max="9" width="16.85546875" style="6" customWidth="1"/>
    <col min="10" max="10" width="20.28515625" style="67" customWidth="1"/>
    <col min="11" max="11" width="15.5703125" style="67" bestFit="1" customWidth="1"/>
    <col min="12" max="16" width="18.85546875" style="1" customWidth="1"/>
    <col min="17" max="16384" width="9.140625" style="1"/>
  </cols>
  <sheetData>
    <row r="1" spans="1:12" ht="45" x14ac:dyDescent="0.25">
      <c r="A1" s="106" t="s">
        <v>83</v>
      </c>
      <c r="B1" s="106"/>
      <c r="C1" s="106"/>
      <c r="D1" s="74" t="s">
        <v>92</v>
      </c>
      <c r="E1" s="74" t="s">
        <v>72</v>
      </c>
      <c r="F1" s="74" t="s">
        <v>57</v>
      </c>
      <c r="G1" s="74" t="s">
        <v>73</v>
      </c>
      <c r="H1" s="74" t="s">
        <v>97</v>
      </c>
      <c r="I1" s="70" t="s">
        <v>75</v>
      </c>
      <c r="J1" s="70"/>
      <c r="L1" s="67"/>
    </row>
    <row r="2" spans="1:12" ht="22.5" customHeight="1" x14ac:dyDescent="0.25">
      <c r="A2" s="106"/>
      <c r="B2" s="106"/>
      <c r="C2" s="106"/>
      <c r="D2" s="82">
        <v>25</v>
      </c>
      <c r="E2" s="82">
        <v>8</v>
      </c>
      <c r="F2" s="82">
        <v>3</v>
      </c>
      <c r="G2" s="82">
        <v>5</v>
      </c>
      <c r="H2" s="82">
        <v>7</v>
      </c>
      <c r="I2" s="81">
        <f>SUM(D2:H2)</f>
        <v>48</v>
      </c>
      <c r="J2" s="81"/>
      <c r="L2" s="67"/>
    </row>
    <row r="3" spans="1:12" s="18" customFormat="1" ht="30" x14ac:dyDescent="0.25">
      <c r="A3" s="106"/>
      <c r="B3" s="106"/>
      <c r="C3" s="106"/>
      <c r="D3" s="78" t="s">
        <v>71</v>
      </c>
      <c r="E3" s="78">
        <v>0.02</v>
      </c>
      <c r="F3" s="78">
        <v>0.02</v>
      </c>
      <c r="G3" s="78">
        <v>0.02</v>
      </c>
      <c r="H3" s="78">
        <v>2.7E-2</v>
      </c>
      <c r="I3" s="78" t="s">
        <v>74</v>
      </c>
      <c r="J3" s="77">
        <v>0.06</v>
      </c>
      <c r="K3" s="67"/>
      <c r="L3" s="67"/>
    </row>
    <row r="4" spans="1:12" s="15" customFormat="1" ht="30" x14ac:dyDescent="0.25">
      <c r="A4" s="106"/>
      <c r="B4" s="106"/>
      <c r="C4" s="106"/>
      <c r="D4" s="79" t="s">
        <v>81</v>
      </c>
      <c r="E4" s="80" t="s">
        <v>78</v>
      </c>
      <c r="F4" s="80" t="s">
        <v>80</v>
      </c>
      <c r="G4" s="80" t="s">
        <v>6</v>
      </c>
      <c r="H4" s="80" t="s">
        <v>79</v>
      </c>
      <c r="I4" s="40" t="s">
        <v>95</v>
      </c>
      <c r="J4" s="40" t="s">
        <v>76</v>
      </c>
      <c r="K4" s="67"/>
      <c r="L4" s="67"/>
    </row>
    <row r="5" spans="1:12" s="15" customFormat="1" x14ac:dyDescent="0.25">
      <c r="A5" s="43"/>
      <c r="B5" s="85"/>
      <c r="C5" s="41"/>
      <c r="D5" s="75"/>
      <c r="E5" s="79"/>
      <c r="F5" s="80"/>
      <c r="G5" s="80"/>
      <c r="H5" s="80"/>
      <c r="I5" s="80"/>
      <c r="J5" s="75"/>
      <c r="K5" s="67"/>
      <c r="L5" s="67"/>
    </row>
    <row r="6" spans="1:12" s="15" customFormat="1" ht="45" x14ac:dyDescent="0.25">
      <c r="A6" s="73" t="s">
        <v>33</v>
      </c>
      <c r="B6" s="73" t="s">
        <v>58</v>
      </c>
      <c r="C6" s="73" t="s">
        <v>94</v>
      </c>
      <c r="D6" s="74" t="s">
        <v>54</v>
      </c>
      <c r="E6" s="74" t="s">
        <v>55</v>
      </c>
      <c r="F6" s="74" t="s">
        <v>57</v>
      </c>
      <c r="G6" s="74" t="s">
        <v>77</v>
      </c>
      <c r="H6" s="74" t="s">
        <v>56</v>
      </c>
      <c r="I6" s="40" t="s">
        <v>69</v>
      </c>
      <c r="J6" s="40" t="s">
        <v>70</v>
      </c>
      <c r="K6" s="67"/>
      <c r="L6" s="67"/>
    </row>
    <row r="7" spans="1:12" s="15" customFormat="1" x14ac:dyDescent="0.25">
      <c r="A7" s="100" t="s">
        <v>93</v>
      </c>
      <c r="B7" s="101">
        <v>198.1</v>
      </c>
      <c r="C7" s="84">
        <f>ROUND(B7*365,0)</f>
        <v>72307</v>
      </c>
      <c r="D7" s="89">
        <f>$D$2</f>
        <v>25</v>
      </c>
      <c r="E7" s="90">
        <f>E2</f>
        <v>8</v>
      </c>
      <c r="F7" s="90">
        <f>F2</f>
        <v>3</v>
      </c>
      <c r="G7" s="90">
        <f t="shared" ref="G7" si="0">G2</f>
        <v>5</v>
      </c>
      <c r="H7" s="90">
        <f>H2</f>
        <v>7</v>
      </c>
      <c r="I7" s="72">
        <f t="shared" ref="I7:I26" si="1">SUM(D7:H7)</f>
        <v>48</v>
      </c>
      <c r="J7" s="72">
        <f>C7*I7</f>
        <v>3470736</v>
      </c>
      <c r="K7" s="67"/>
      <c r="L7" s="67"/>
    </row>
    <row r="8" spans="1:12" s="15" customFormat="1" x14ac:dyDescent="0.25">
      <c r="A8" s="96" t="s">
        <v>35</v>
      </c>
      <c r="B8" s="101">
        <v>199.1</v>
      </c>
      <c r="C8" s="84">
        <f t="shared" ref="C8:C21" si="2">ROUND(B8*365,0)</f>
        <v>72672</v>
      </c>
      <c r="D8" s="89">
        <f t="shared" ref="D8:D26" si="3">$D$2</f>
        <v>25</v>
      </c>
      <c r="E8" s="91">
        <f>E2*(1+$E$3)</f>
        <v>8.16</v>
      </c>
      <c r="F8" s="91">
        <f>F7*(1+$F$3)</f>
        <v>3.06</v>
      </c>
      <c r="G8" s="91">
        <f>G7*(1+$G$3)</f>
        <v>5.0999999999999996</v>
      </c>
      <c r="H8" s="91">
        <f>H7*(1+$H$3)</f>
        <v>7.1889999999999992</v>
      </c>
      <c r="I8" s="72">
        <f t="shared" si="1"/>
        <v>48.509</v>
      </c>
      <c r="J8" s="72">
        <f t="shared" ref="J8:J26" si="4">C8*I8</f>
        <v>3525246.048</v>
      </c>
      <c r="K8" s="67"/>
      <c r="L8" s="67"/>
    </row>
    <row r="9" spans="1:12" s="15" customFormat="1" x14ac:dyDescent="0.25">
      <c r="A9" s="96" t="s">
        <v>36</v>
      </c>
      <c r="B9" s="101">
        <v>200.1</v>
      </c>
      <c r="C9" s="84">
        <f t="shared" si="2"/>
        <v>73037</v>
      </c>
      <c r="D9" s="89">
        <f t="shared" si="3"/>
        <v>25</v>
      </c>
      <c r="E9" s="91">
        <f t="shared" ref="E9:E26" si="5">E8*(1+$E$3)</f>
        <v>8.3231999999999999</v>
      </c>
      <c r="F9" s="91">
        <f>F8*(1+$F$3)</f>
        <v>3.1212</v>
      </c>
      <c r="G9" s="91">
        <f t="shared" ref="G9:G26" si="6">G8*(1+$G$3)</f>
        <v>5.202</v>
      </c>
      <c r="H9" s="91">
        <f t="shared" ref="H9:H26" si="7">H8*(1+$H$3)</f>
        <v>7.3831029999999984</v>
      </c>
      <c r="I9" s="72">
        <f t="shared" si="1"/>
        <v>49.029502999999998</v>
      </c>
      <c r="J9" s="72">
        <f t="shared" si="4"/>
        <v>3580967.8106109998</v>
      </c>
      <c r="K9" s="67"/>
      <c r="L9" s="67"/>
    </row>
    <row r="10" spans="1:12" s="15" customFormat="1" x14ac:dyDescent="0.25">
      <c r="A10" s="96" t="s">
        <v>37</v>
      </c>
      <c r="B10" s="101">
        <v>200.2</v>
      </c>
      <c r="C10" s="84">
        <f t="shared" si="2"/>
        <v>73073</v>
      </c>
      <c r="D10" s="89">
        <f t="shared" si="3"/>
        <v>25</v>
      </c>
      <c r="E10" s="91">
        <f t="shared" si="5"/>
        <v>8.4896639999999994</v>
      </c>
      <c r="F10" s="91">
        <f t="shared" ref="F10:F26" si="8">F9*(1+$F$3)</f>
        <v>3.183624</v>
      </c>
      <c r="G10" s="91">
        <f t="shared" si="6"/>
        <v>5.3060400000000003</v>
      </c>
      <c r="H10" s="91">
        <f t="shared" si="7"/>
        <v>7.582446780999998</v>
      </c>
      <c r="I10" s="72">
        <f t="shared" si="1"/>
        <v>49.561774780999997</v>
      </c>
      <c r="J10" s="72">
        <f t="shared" si="4"/>
        <v>3621627.5685720127</v>
      </c>
      <c r="K10" s="67"/>
      <c r="L10" s="67"/>
    </row>
    <row r="11" spans="1:12" s="15" customFormat="1" x14ac:dyDescent="0.25">
      <c r="A11" s="100" t="s">
        <v>38</v>
      </c>
      <c r="B11" s="101">
        <v>204.2</v>
      </c>
      <c r="C11" s="84">
        <f t="shared" si="2"/>
        <v>74533</v>
      </c>
      <c r="D11" s="89">
        <f t="shared" si="3"/>
        <v>25</v>
      </c>
      <c r="E11" s="91">
        <f t="shared" si="5"/>
        <v>8.6594572799999998</v>
      </c>
      <c r="F11" s="91">
        <f t="shared" si="8"/>
        <v>3.2472964800000002</v>
      </c>
      <c r="G11" s="91">
        <f t="shared" si="6"/>
        <v>5.4121608000000005</v>
      </c>
      <c r="H11" s="91">
        <f t="shared" si="7"/>
        <v>7.7871728440869976</v>
      </c>
      <c r="I11" s="72">
        <f t="shared" si="1"/>
        <v>50.106087404086999</v>
      </c>
      <c r="J11" s="72">
        <f t="shared" si="4"/>
        <v>3734557.0124888164</v>
      </c>
      <c r="K11" s="67"/>
      <c r="L11" s="67"/>
    </row>
    <row r="12" spans="1:12" s="15" customFormat="1" x14ac:dyDescent="0.25">
      <c r="A12" s="96" t="s">
        <v>39</v>
      </c>
      <c r="B12" s="101">
        <v>206.6</v>
      </c>
      <c r="C12" s="84">
        <f t="shared" si="2"/>
        <v>75409</v>
      </c>
      <c r="D12" s="89">
        <f t="shared" si="3"/>
        <v>25</v>
      </c>
      <c r="E12" s="91">
        <f>E11*(1+$E$3)</f>
        <v>8.8326464256000001</v>
      </c>
      <c r="F12" s="91">
        <f t="shared" si="8"/>
        <v>3.3122424096</v>
      </c>
      <c r="G12" s="91">
        <f t="shared" si="6"/>
        <v>5.5204040160000005</v>
      </c>
      <c r="H12" s="91">
        <f t="shared" si="7"/>
        <v>7.9974265108773457</v>
      </c>
      <c r="I12" s="72">
        <f t="shared" si="1"/>
        <v>50.662719362077354</v>
      </c>
      <c r="J12" s="72">
        <f t="shared" si="4"/>
        <v>3820425.0043748911</v>
      </c>
      <c r="K12" s="67"/>
      <c r="L12" s="67"/>
    </row>
    <row r="13" spans="1:12" x14ac:dyDescent="0.25">
      <c r="A13" s="96" t="s">
        <v>40</v>
      </c>
      <c r="B13" s="101">
        <v>209.1</v>
      </c>
      <c r="C13" s="84">
        <f t="shared" si="2"/>
        <v>76322</v>
      </c>
      <c r="D13" s="89">
        <f t="shared" si="3"/>
        <v>25</v>
      </c>
      <c r="E13" s="91">
        <f t="shared" si="5"/>
        <v>9.0092993541120006</v>
      </c>
      <c r="F13" s="91">
        <f t="shared" si="8"/>
        <v>3.378487257792</v>
      </c>
      <c r="G13" s="91">
        <f t="shared" si="6"/>
        <v>5.6308120963200006</v>
      </c>
      <c r="H13" s="91">
        <f t="shared" si="7"/>
        <v>8.2133570266710336</v>
      </c>
      <c r="I13" s="72">
        <f t="shared" si="1"/>
        <v>51.231955734895038</v>
      </c>
      <c r="J13" s="72">
        <f t="shared" si="4"/>
        <v>3910125.325598659</v>
      </c>
      <c r="L13" s="67"/>
    </row>
    <row r="14" spans="1:12" x14ac:dyDescent="0.25">
      <c r="A14" s="96" t="s">
        <v>41</v>
      </c>
      <c r="B14" s="101">
        <v>211.6</v>
      </c>
      <c r="C14" s="84">
        <f t="shared" si="2"/>
        <v>77234</v>
      </c>
      <c r="D14" s="89">
        <f t="shared" si="3"/>
        <v>25</v>
      </c>
      <c r="E14" s="91">
        <f t="shared" si="5"/>
        <v>9.1894853411942403</v>
      </c>
      <c r="F14" s="91">
        <f t="shared" si="8"/>
        <v>3.4460570029478399</v>
      </c>
      <c r="G14" s="91">
        <f t="shared" si="6"/>
        <v>5.7434283382464004</v>
      </c>
      <c r="H14" s="91">
        <f t="shared" si="7"/>
        <v>8.4351176663911502</v>
      </c>
      <c r="I14" s="72">
        <f t="shared" si="1"/>
        <v>51.814088348779634</v>
      </c>
      <c r="J14" s="72">
        <f t="shared" si="4"/>
        <v>4001809.2995296461</v>
      </c>
      <c r="L14" s="67"/>
    </row>
    <row r="15" spans="1:12" x14ac:dyDescent="0.25">
      <c r="A15" s="100" t="s">
        <v>42</v>
      </c>
      <c r="B15" s="101">
        <v>214</v>
      </c>
      <c r="C15" s="84">
        <f t="shared" si="2"/>
        <v>78110</v>
      </c>
      <c r="D15" s="89">
        <f t="shared" si="3"/>
        <v>25</v>
      </c>
      <c r="E15" s="91">
        <f t="shared" si="5"/>
        <v>9.3732750480181259</v>
      </c>
      <c r="F15" s="91">
        <f t="shared" si="8"/>
        <v>3.5149781430067968</v>
      </c>
      <c r="G15" s="91">
        <f t="shared" si="6"/>
        <v>5.8582969050113283</v>
      </c>
      <c r="H15" s="91">
        <f>H14*(1+$H$3)</f>
        <v>8.6628658433837114</v>
      </c>
      <c r="I15" s="72">
        <f t="shared" si="1"/>
        <v>52.409415939419972</v>
      </c>
      <c r="J15" s="72">
        <f t="shared" si="4"/>
        <v>4093699.4790280941</v>
      </c>
    </row>
    <row r="16" spans="1:12" x14ac:dyDescent="0.25">
      <c r="A16" s="96" t="s">
        <v>43</v>
      </c>
      <c r="B16" s="101">
        <v>216.5</v>
      </c>
      <c r="C16" s="84">
        <f t="shared" si="2"/>
        <v>79023</v>
      </c>
      <c r="D16" s="89">
        <f t="shared" si="3"/>
        <v>25</v>
      </c>
      <c r="E16" s="91">
        <f t="shared" si="5"/>
        <v>9.5607405489784885</v>
      </c>
      <c r="F16" s="91">
        <f t="shared" si="8"/>
        <v>3.585277705866933</v>
      </c>
      <c r="G16" s="91">
        <f t="shared" si="6"/>
        <v>5.9754628431115551</v>
      </c>
      <c r="H16" s="91">
        <f t="shared" si="7"/>
        <v>8.8967632211550711</v>
      </c>
      <c r="I16" s="72">
        <f t="shared" si="1"/>
        <v>53.01824431911205</v>
      </c>
      <c r="J16" s="72">
        <f t="shared" si="4"/>
        <v>4189660.7208291916</v>
      </c>
    </row>
    <row r="17" spans="1:11" x14ac:dyDescent="0.25">
      <c r="A17" s="96" t="s">
        <v>59</v>
      </c>
      <c r="B17" s="101">
        <v>218.8</v>
      </c>
      <c r="C17" s="84">
        <f t="shared" si="2"/>
        <v>79862</v>
      </c>
      <c r="D17" s="89">
        <f t="shared" si="3"/>
        <v>25</v>
      </c>
      <c r="E17" s="91">
        <f t="shared" si="5"/>
        <v>9.7519553599580586</v>
      </c>
      <c r="F17" s="91">
        <f t="shared" si="8"/>
        <v>3.6569832599842718</v>
      </c>
      <c r="G17" s="91">
        <f t="shared" si="6"/>
        <v>6.094972099973786</v>
      </c>
      <c r="H17" s="91">
        <f t="shared" si="7"/>
        <v>9.136975828126257</v>
      </c>
      <c r="I17" s="72">
        <f t="shared" si="1"/>
        <v>53.640886548042374</v>
      </c>
      <c r="J17" s="72">
        <f t="shared" si="4"/>
        <v>4283868.4814997604</v>
      </c>
    </row>
    <row r="18" spans="1:11" x14ac:dyDescent="0.25">
      <c r="A18" s="96" t="s">
        <v>60</v>
      </c>
      <c r="B18" s="101">
        <v>221.2</v>
      </c>
      <c r="C18" s="84">
        <f t="shared" si="2"/>
        <v>80738</v>
      </c>
      <c r="D18" s="89">
        <f t="shared" si="3"/>
        <v>25</v>
      </c>
      <c r="E18" s="91">
        <f t="shared" si="5"/>
        <v>9.9469944671572197</v>
      </c>
      <c r="F18" s="91">
        <f t="shared" si="8"/>
        <v>3.7301229251839572</v>
      </c>
      <c r="G18" s="91">
        <f t="shared" si="6"/>
        <v>6.2168715419732621</v>
      </c>
      <c r="H18" s="91">
        <f t="shared" si="7"/>
        <v>9.3836741754856643</v>
      </c>
      <c r="I18" s="72">
        <f t="shared" si="1"/>
        <v>54.277663109800102</v>
      </c>
      <c r="J18" s="72">
        <f t="shared" si="4"/>
        <v>4382269.9641590407</v>
      </c>
    </row>
    <row r="19" spans="1:11" x14ac:dyDescent="0.25">
      <c r="A19" s="96" t="s">
        <v>61</v>
      </c>
      <c r="B19" s="101">
        <v>223.4</v>
      </c>
      <c r="C19" s="84">
        <f t="shared" si="2"/>
        <v>81541</v>
      </c>
      <c r="D19" s="89">
        <f t="shared" si="3"/>
        <v>25</v>
      </c>
      <c r="E19" s="91">
        <f t="shared" si="5"/>
        <v>10.145934356500364</v>
      </c>
      <c r="F19" s="91">
        <f t="shared" si="8"/>
        <v>3.8047253836876362</v>
      </c>
      <c r="G19" s="91">
        <f t="shared" si="6"/>
        <v>6.3412089728127272</v>
      </c>
      <c r="H19" s="91">
        <f t="shared" si="7"/>
        <v>9.6370333782237765</v>
      </c>
      <c r="I19" s="72">
        <f t="shared" si="1"/>
        <v>54.928902091224508</v>
      </c>
      <c r="J19" s="72">
        <f t="shared" si="4"/>
        <v>4478957.6054205373</v>
      </c>
    </row>
    <row r="20" spans="1:11" x14ac:dyDescent="0.25">
      <c r="A20" s="96" t="s">
        <v>62</v>
      </c>
      <c r="B20" s="101">
        <v>225.6</v>
      </c>
      <c r="C20" s="84">
        <f t="shared" si="2"/>
        <v>82344</v>
      </c>
      <c r="D20" s="89">
        <f t="shared" si="3"/>
        <v>25</v>
      </c>
      <c r="E20" s="91">
        <f t="shared" si="5"/>
        <v>10.348853043630371</v>
      </c>
      <c r="F20" s="91">
        <f t="shared" si="8"/>
        <v>3.8808198913613889</v>
      </c>
      <c r="G20" s="91">
        <f t="shared" si="6"/>
        <v>6.4680331522689816</v>
      </c>
      <c r="H20" s="91">
        <f t="shared" si="7"/>
        <v>9.8972332794358184</v>
      </c>
      <c r="I20" s="72">
        <f t="shared" si="1"/>
        <v>55.594939366696558</v>
      </c>
      <c r="J20" s="72">
        <f t="shared" si="4"/>
        <v>4577909.6872112611</v>
      </c>
    </row>
    <row r="21" spans="1:11" x14ac:dyDescent="0.25">
      <c r="A21" s="96" t="s">
        <v>63</v>
      </c>
      <c r="B21" s="101">
        <v>227.9</v>
      </c>
      <c r="C21" s="84">
        <f t="shared" si="2"/>
        <v>83184</v>
      </c>
      <c r="D21" s="89">
        <f t="shared" si="3"/>
        <v>25</v>
      </c>
      <c r="E21" s="91">
        <f t="shared" si="5"/>
        <v>10.555830104502979</v>
      </c>
      <c r="F21" s="91">
        <f t="shared" si="8"/>
        <v>3.9584362891886169</v>
      </c>
      <c r="G21" s="91">
        <f t="shared" si="6"/>
        <v>6.5973938153143612</v>
      </c>
      <c r="H21" s="91">
        <f>H20*(1+$H$3)</f>
        <v>10.164458577980584</v>
      </c>
      <c r="I21" s="72">
        <f t="shared" si="1"/>
        <v>56.276118786986544</v>
      </c>
      <c r="J21" s="72">
        <f t="shared" si="4"/>
        <v>4681272.6651766887</v>
      </c>
    </row>
    <row r="22" spans="1:11" x14ac:dyDescent="0.25">
      <c r="A22" s="100" t="s">
        <v>64</v>
      </c>
      <c r="B22" s="101">
        <v>230.3</v>
      </c>
      <c r="C22" s="84">
        <f t="shared" ref="C22:C26" si="9">ROUND(B22*365,0)</f>
        <v>84060</v>
      </c>
      <c r="D22" s="89">
        <f t="shared" si="3"/>
        <v>25</v>
      </c>
      <c r="E22" s="91">
        <f t="shared" si="5"/>
        <v>10.766946706593039</v>
      </c>
      <c r="F22" s="91">
        <f t="shared" si="8"/>
        <v>4.0376050149723897</v>
      </c>
      <c r="G22" s="91">
        <f t="shared" si="6"/>
        <v>6.7293416916206485</v>
      </c>
      <c r="H22" s="91">
        <f t="shared" si="7"/>
        <v>10.438898959586059</v>
      </c>
      <c r="I22" s="72">
        <f t="shared" si="1"/>
        <v>56.972792372772133</v>
      </c>
      <c r="J22" s="72">
        <f t="shared" si="4"/>
        <v>4789132.9268552251</v>
      </c>
    </row>
    <row r="23" spans="1:11" x14ac:dyDescent="0.25">
      <c r="A23" s="96" t="s">
        <v>65</v>
      </c>
      <c r="B23" s="101">
        <v>232.7</v>
      </c>
      <c r="C23" s="84">
        <f t="shared" si="9"/>
        <v>84936</v>
      </c>
      <c r="D23" s="89">
        <f t="shared" si="3"/>
        <v>25</v>
      </c>
      <c r="E23" s="91">
        <f t="shared" si="5"/>
        <v>10.9822856407249</v>
      </c>
      <c r="F23" s="91">
        <f t="shared" si="8"/>
        <v>4.1183571152718379</v>
      </c>
      <c r="G23" s="91">
        <f t="shared" si="6"/>
        <v>6.863928525453062</v>
      </c>
      <c r="H23" s="91">
        <f t="shared" si="7"/>
        <v>10.720749231494882</v>
      </c>
      <c r="I23" s="72">
        <f t="shared" si="1"/>
        <v>57.685320512944671</v>
      </c>
      <c r="J23" s="72">
        <f t="shared" si="4"/>
        <v>4899560.3830874683</v>
      </c>
    </row>
    <row r="24" spans="1:11" x14ac:dyDescent="0.25">
      <c r="A24" s="96" t="s">
        <v>66</v>
      </c>
      <c r="B24" s="101">
        <v>235</v>
      </c>
      <c r="C24" s="84">
        <f t="shared" si="9"/>
        <v>85775</v>
      </c>
      <c r="D24" s="89">
        <f t="shared" si="3"/>
        <v>25</v>
      </c>
      <c r="E24" s="91">
        <f t="shared" si="5"/>
        <v>11.201931353539399</v>
      </c>
      <c r="F24" s="91">
        <f t="shared" si="8"/>
        <v>4.2007242575772743</v>
      </c>
      <c r="G24" s="91">
        <f t="shared" si="6"/>
        <v>7.0012070959621235</v>
      </c>
      <c r="H24" s="91">
        <f t="shared" si="7"/>
        <v>11.010209460745243</v>
      </c>
      <c r="I24" s="72">
        <f t="shared" si="1"/>
        <v>58.414072167824038</v>
      </c>
      <c r="J24" s="72">
        <f t="shared" si="4"/>
        <v>5010467.0401951065</v>
      </c>
    </row>
    <row r="25" spans="1:11" x14ac:dyDescent="0.25">
      <c r="A25" s="96" t="s">
        <v>67</v>
      </c>
      <c r="B25" s="101">
        <v>237.4</v>
      </c>
      <c r="C25" s="84">
        <f t="shared" si="9"/>
        <v>86651</v>
      </c>
      <c r="D25" s="89">
        <f t="shared" si="3"/>
        <v>25</v>
      </c>
      <c r="E25" s="91">
        <f t="shared" si="5"/>
        <v>11.425969980610187</v>
      </c>
      <c r="F25" s="91">
        <f t="shared" si="8"/>
        <v>4.2847387427288197</v>
      </c>
      <c r="G25" s="91">
        <f t="shared" si="6"/>
        <v>7.1412312378813665</v>
      </c>
      <c r="H25" s="91">
        <f t="shared" si="7"/>
        <v>11.307485116185363</v>
      </c>
      <c r="I25" s="72">
        <f t="shared" si="1"/>
        <v>59.159425077405736</v>
      </c>
      <c r="J25" s="72">
        <f t="shared" si="4"/>
        <v>5126223.3423822848</v>
      </c>
    </row>
    <row r="26" spans="1:11" x14ac:dyDescent="0.25">
      <c r="A26" s="100" t="s">
        <v>68</v>
      </c>
      <c r="B26" s="101">
        <v>239.8</v>
      </c>
      <c r="C26" s="84">
        <f t="shared" si="9"/>
        <v>87527</v>
      </c>
      <c r="D26" s="89">
        <f t="shared" si="3"/>
        <v>25</v>
      </c>
      <c r="E26" s="91">
        <f t="shared" si="5"/>
        <v>11.65448938022239</v>
      </c>
      <c r="F26" s="91">
        <f t="shared" si="8"/>
        <v>4.3704335175833959</v>
      </c>
      <c r="G26" s="91">
        <f t="shared" si="6"/>
        <v>7.2840558626389935</v>
      </c>
      <c r="H26" s="91">
        <f t="shared" si="7"/>
        <v>11.612787214322367</v>
      </c>
      <c r="I26" s="72">
        <f t="shared" si="1"/>
        <v>59.921765974767141</v>
      </c>
      <c r="J26" s="72">
        <f t="shared" si="4"/>
        <v>5244772.4104734436</v>
      </c>
    </row>
    <row r="27" spans="1:11" x14ac:dyDescent="0.25">
      <c r="A27" s="104" t="s">
        <v>0</v>
      </c>
      <c r="B27" s="104"/>
      <c r="C27" s="95">
        <f>SUM(C7:C26)</f>
        <v>1588338</v>
      </c>
      <c r="D27" s="93">
        <f>D2*C27</f>
        <v>39708450</v>
      </c>
      <c r="E27" s="94">
        <f>SUMPRODUCT($C7:$C26,E7:E26)</f>
        <v>15544539.720185889</v>
      </c>
      <c r="F27" s="94">
        <f>SUMPRODUCT($C7:$C26,F7:F26)</f>
        <v>5829202.3950697081</v>
      </c>
      <c r="G27" s="94">
        <f>SUMPRODUCT($C7:$C26,G7:G26)</f>
        <v>9715337.3251161799</v>
      </c>
      <c r="H27" s="94">
        <f>SUMPRODUCT($C7:$C26,H7:H26)</f>
        <v>14625759.33512135</v>
      </c>
      <c r="I27" s="92" t="s">
        <v>91</v>
      </c>
      <c r="J27" s="86">
        <f>SUM(J7:J26)</f>
        <v>85423288.775493115</v>
      </c>
    </row>
    <row r="28" spans="1:11" x14ac:dyDescent="0.25">
      <c r="A28" s="71"/>
      <c r="B28" s="71"/>
      <c r="C28" s="71"/>
      <c r="J28" s="69"/>
    </row>
    <row r="29" spans="1:11" s="68" customFormat="1" ht="21" x14ac:dyDescent="0.25">
      <c r="A29" s="97" t="s">
        <v>84</v>
      </c>
      <c r="B29" s="87"/>
      <c r="C29" s="87"/>
      <c r="H29" s="6"/>
      <c r="I29" s="107" t="s">
        <v>90</v>
      </c>
      <c r="J29" s="107"/>
      <c r="K29" s="67"/>
    </row>
    <row r="30" spans="1:11" s="68" customFormat="1" ht="21" x14ac:dyDescent="0.25">
      <c r="A30" s="98" t="s">
        <v>85</v>
      </c>
      <c r="B30" s="88"/>
      <c r="C30" s="83"/>
      <c r="F30" s="6"/>
      <c r="I30" s="107"/>
      <c r="J30" s="107"/>
    </row>
    <row r="31" spans="1:11" s="68" customFormat="1" ht="23.25" x14ac:dyDescent="0.25">
      <c r="A31" s="97" t="s">
        <v>86</v>
      </c>
      <c r="B31" s="88"/>
      <c r="C31" s="83"/>
      <c r="D31" s="67"/>
      <c r="E31" s="6"/>
      <c r="F31" s="6"/>
      <c r="G31" s="6"/>
      <c r="H31" s="6"/>
      <c r="I31" s="105">
        <f>NPV(J3,J8:J26)+J7</f>
        <v>49763947.321337655</v>
      </c>
      <c r="J31" s="105"/>
      <c r="K31" s="99"/>
    </row>
    <row r="32" spans="1:11" s="68" customFormat="1" ht="21" x14ac:dyDescent="0.25">
      <c r="A32" s="97" t="s">
        <v>87</v>
      </c>
      <c r="B32" s="88"/>
      <c r="C32" s="83"/>
      <c r="D32" s="67"/>
      <c r="E32" s="6"/>
      <c r="F32" s="6"/>
      <c r="G32" s="6"/>
      <c r="H32" s="6"/>
      <c r="I32" s="103" t="s">
        <v>82</v>
      </c>
      <c r="J32" s="103"/>
      <c r="K32" s="67"/>
    </row>
    <row r="33" spans="1:11" s="68" customFormat="1" ht="21" x14ac:dyDescent="0.25">
      <c r="A33" s="97" t="s">
        <v>88</v>
      </c>
      <c r="B33" s="88"/>
      <c r="C33" s="83"/>
      <c r="D33" s="67"/>
      <c r="E33" s="6"/>
      <c r="F33" s="6"/>
      <c r="G33" s="6"/>
      <c r="H33" s="6"/>
      <c r="I33" s="103"/>
      <c r="J33" s="103"/>
      <c r="K33" s="67"/>
    </row>
    <row r="34" spans="1:11" s="68" customFormat="1" ht="21" x14ac:dyDescent="0.25">
      <c r="A34" s="97" t="s">
        <v>89</v>
      </c>
      <c r="B34" s="88"/>
      <c r="C34" s="83"/>
      <c r="D34" s="67"/>
      <c r="E34" s="6"/>
      <c r="F34" s="6"/>
      <c r="G34" s="6"/>
      <c r="H34" s="6"/>
      <c r="I34" s="6"/>
      <c r="J34" s="67"/>
      <c r="K34" s="67"/>
    </row>
    <row r="35" spans="1:11" x14ac:dyDescent="0.25">
      <c r="A35" s="102" t="s">
        <v>96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1" ht="18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</sheetData>
  <mergeCells count="6">
    <mergeCell ref="A35:J36"/>
    <mergeCell ref="I32:J33"/>
    <mergeCell ref="A27:B27"/>
    <mergeCell ref="I31:J31"/>
    <mergeCell ref="A1:C4"/>
    <mergeCell ref="I29:J30"/>
  </mergeCells>
  <printOptions horizontalCentered="1" verticalCentered="1"/>
  <pageMargins left="0.7" right="0.7" top="0.75" bottom="0.75" header="0.3" footer="0.3"/>
  <pageSetup scale="73" orientation="landscape" r:id="rId1"/>
  <headerFooter>
    <oddHeader xml:space="preserve">&amp;C&amp;"-,Bold"&amp;26DRAFT PRICING INPUT SHEET - DO NOT SUBMIT WITH FIRST STEP
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17" sqref="E17"/>
    </sheetView>
  </sheetViews>
  <sheetFormatPr defaultColWidth="9.140625" defaultRowHeight="15" x14ac:dyDescent="0.25"/>
  <cols>
    <col min="1" max="1" width="8.42578125" style="1" customWidth="1"/>
    <col min="2" max="2" width="37.85546875" style="4" customWidth="1"/>
    <col min="3" max="3" width="18.28515625" style="4" customWidth="1"/>
    <col min="4" max="4" width="15.85546875" style="6" customWidth="1"/>
    <col min="5" max="12" width="15.85546875" style="2" customWidth="1"/>
    <col min="13" max="13" width="17.5703125" style="2" customWidth="1"/>
    <col min="14" max="18" width="18.85546875" style="1" customWidth="1"/>
    <col min="19" max="16384" width="9.140625" style="1"/>
  </cols>
  <sheetData>
    <row r="1" spans="1:13" x14ac:dyDescent="0.25">
      <c r="B1" s="109" t="s">
        <v>4</v>
      </c>
      <c r="C1" s="110"/>
      <c r="D1" s="54">
        <v>165</v>
      </c>
      <c r="F1" s="49"/>
      <c r="G1" s="57" t="s">
        <v>44</v>
      </c>
    </row>
    <row r="2" spans="1:13" x14ac:dyDescent="0.25">
      <c r="B2" s="109" t="s">
        <v>5</v>
      </c>
      <c r="C2" s="110"/>
      <c r="D2" s="55">
        <f>D1*365</f>
        <v>60225</v>
      </c>
      <c r="F2" s="54"/>
      <c r="G2" s="57" t="s">
        <v>45</v>
      </c>
    </row>
    <row r="3" spans="1:13" x14ac:dyDescent="0.25">
      <c r="B3" s="109" t="s">
        <v>27</v>
      </c>
      <c r="C3" s="110"/>
      <c r="D3" s="55">
        <f>D2*D8</f>
        <v>602250</v>
      </c>
      <c r="F3" s="55"/>
      <c r="G3" s="57" t="s">
        <v>46</v>
      </c>
    </row>
    <row r="4" spans="1:13" x14ac:dyDescent="0.25">
      <c r="B4" s="109" t="s">
        <v>30</v>
      </c>
      <c r="C4" s="110"/>
      <c r="D4" s="66">
        <f>SUM(C17:L17)</f>
        <v>10000000</v>
      </c>
    </row>
    <row r="5" spans="1:13" x14ac:dyDescent="0.25">
      <c r="B5" s="109" t="s">
        <v>28</v>
      </c>
      <c r="C5" s="110"/>
      <c r="D5" s="56">
        <v>1.4999999999999999E-2</v>
      </c>
    </row>
    <row r="6" spans="1:13" x14ac:dyDescent="0.25">
      <c r="B6" s="109" t="s">
        <v>29</v>
      </c>
      <c r="C6" s="110"/>
      <c r="D6" s="56">
        <v>3.5000000000000003E-2</v>
      </c>
    </row>
    <row r="7" spans="1:13" x14ac:dyDescent="0.25">
      <c r="B7" s="109" t="s">
        <v>47</v>
      </c>
      <c r="C7" s="110"/>
      <c r="D7" s="56">
        <v>7.0000000000000007E-2</v>
      </c>
    </row>
    <row r="8" spans="1:13" x14ac:dyDescent="0.25">
      <c r="B8" s="109" t="s">
        <v>51</v>
      </c>
      <c r="C8" s="110"/>
      <c r="D8" s="59">
        <v>10</v>
      </c>
    </row>
    <row r="9" spans="1:13" x14ac:dyDescent="0.25">
      <c r="B9" s="6"/>
      <c r="C9" s="6"/>
      <c r="D9" s="1"/>
    </row>
    <row r="10" spans="1:13" ht="45" x14ac:dyDescent="0.25">
      <c r="B10" s="6"/>
      <c r="C10" s="3" t="s">
        <v>49</v>
      </c>
      <c r="D10" s="39" t="s">
        <v>23</v>
      </c>
      <c r="E10" s="40" t="s">
        <v>50</v>
      </c>
    </row>
    <row r="11" spans="1:13" s="15" customFormat="1" x14ac:dyDescent="0.25">
      <c r="A11" s="47" t="s">
        <v>24</v>
      </c>
      <c r="B11" s="40" t="s">
        <v>19</v>
      </c>
      <c r="C11" s="41"/>
      <c r="D11" s="46">
        <f>D4/D3</f>
        <v>16.604400166044002</v>
      </c>
      <c r="E11" s="63">
        <f>D11/D14</f>
        <v>0.29650714582221432</v>
      </c>
      <c r="F11" s="48"/>
      <c r="G11" s="48"/>
      <c r="H11" s="48"/>
      <c r="I11" s="48"/>
      <c r="J11" s="48"/>
      <c r="K11" s="48"/>
      <c r="L11" s="48"/>
      <c r="M11" s="48"/>
    </row>
    <row r="12" spans="1:13" s="15" customFormat="1" x14ac:dyDescent="0.25">
      <c r="A12" s="47" t="s">
        <v>26</v>
      </c>
      <c r="B12" s="40" t="s">
        <v>20</v>
      </c>
      <c r="C12" s="42">
        <v>0.9</v>
      </c>
      <c r="D12" s="46">
        <f>(D14-D11)*C12</f>
        <v>35.456039850560401</v>
      </c>
      <c r="E12" s="63">
        <f>D12/D14</f>
        <v>0.63314356876000721</v>
      </c>
      <c r="F12" s="48"/>
      <c r="G12" s="48"/>
      <c r="H12" s="48"/>
      <c r="I12" s="48"/>
      <c r="J12" s="48"/>
      <c r="K12" s="48"/>
      <c r="L12" s="48"/>
      <c r="M12" s="48"/>
    </row>
    <row r="13" spans="1:13" s="15" customFormat="1" x14ac:dyDescent="0.25">
      <c r="A13" s="47" t="s">
        <v>25</v>
      </c>
      <c r="B13" s="43" t="s">
        <v>21</v>
      </c>
      <c r="C13" s="44">
        <v>0.1</v>
      </c>
      <c r="D13" s="46">
        <f>(D14-D11)*C13</f>
        <v>3.9395599833956001</v>
      </c>
      <c r="E13" s="63">
        <f>D13/D14</f>
        <v>7.0349285417778573E-2</v>
      </c>
      <c r="F13" s="48"/>
      <c r="G13" s="48"/>
      <c r="H13" s="48"/>
      <c r="I13" s="48"/>
      <c r="J13" s="48"/>
      <c r="K13" s="48"/>
      <c r="L13" s="48"/>
      <c r="M13" s="48"/>
    </row>
    <row r="14" spans="1:13" s="18" customFormat="1" x14ac:dyDescent="0.25">
      <c r="B14" s="45" t="s">
        <v>17</v>
      </c>
      <c r="C14" s="61"/>
      <c r="D14" s="62">
        <v>56</v>
      </c>
      <c r="E14" s="50"/>
      <c r="F14" s="50"/>
      <c r="G14" s="50"/>
      <c r="H14" s="50"/>
      <c r="I14" s="50"/>
      <c r="J14" s="50"/>
      <c r="K14" s="50"/>
      <c r="L14" s="50"/>
      <c r="M14" s="50"/>
    </row>
    <row r="15" spans="1:13" s="15" customFormat="1" x14ac:dyDescent="0.25">
      <c r="B15" s="16"/>
      <c r="C15" s="16"/>
      <c r="D15" s="37"/>
      <c r="E15" s="48"/>
      <c r="F15" s="48"/>
      <c r="G15" s="48"/>
      <c r="H15" s="48"/>
      <c r="I15" s="48"/>
      <c r="J15" s="48"/>
      <c r="K15" s="48"/>
      <c r="L15" s="48"/>
      <c r="M15" s="48"/>
    </row>
    <row r="16" spans="1:13" s="18" customFormat="1" x14ac:dyDescent="0.25">
      <c r="B16" s="45" t="s">
        <v>33</v>
      </c>
      <c r="C16" s="52" t="s">
        <v>34</v>
      </c>
      <c r="D16" s="53" t="s">
        <v>35</v>
      </c>
      <c r="E16" s="53" t="s">
        <v>36</v>
      </c>
      <c r="F16" s="53" t="s">
        <v>37</v>
      </c>
      <c r="G16" s="52" t="s">
        <v>38</v>
      </c>
      <c r="H16" s="53" t="s">
        <v>39</v>
      </c>
      <c r="I16" s="53" t="s">
        <v>40</v>
      </c>
      <c r="J16" s="53" t="s">
        <v>41</v>
      </c>
      <c r="K16" s="52" t="s">
        <v>42</v>
      </c>
      <c r="L16" s="53" t="s">
        <v>43</v>
      </c>
    </row>
    <row r="17" spans="1:13" s="15" customFormat="1" ht="30" x14ac:dyDescent="0.25">
      <c r="A17" s="108"/>
      <c r="B17" s="45" t="s">
        <v>53</v>
      </c>
      <c r="C17" s="65">
        <v>1000000</v>
      </c>
      <c r="D17" s="65">
        <v>1000000</v>
      </c>
      <c r="E17" s="65">
        <v>1000000</v>
      </c>
      <c r="F17" s="65">
        <v>1000000</v>
      </c>
      <c r="G17" s="65">
        <v>1000000</v>
      </c>
      <c r="H17" s="65">
        <v>1000000</v>
      </c>
      <c r="I17" s="65">
        <v>1000000</v>
      </c>
      <c r="J17" s="65">
        <v>1000000</v>
      </c>
      <c r="K17" s="65">
        <v>1000000</v>
      </c>
      <c r="L17" s="65">
        <v>1000000</v>
      </c>
    </row>
    <row r="18" spans="1:13" s="15" customFormat="1" x14ac:dyDescent="0.25">
      <c r="A18" s="108"/>
      <c r="B18" s="45" t="s">
        <v>31</v>
      </c>
      <c r="C18" s="46">
        <f>D12*D2</f>
        <v>2135340</v>
      </c>
      <c r="D18" s="60">
        <f>C18*(1+$D$5)</f>
        <v>2167370.0999999996</v>
      </c>
      <c r="E18" s="60">
        <f t="shared" ref="E18:L18" si="0">D18*(1+$D$5)</f>
        <v>2199880.6514999992</v>
      </c>
      <c r="F18" s="60">
        <f t="shared" si="0"/>
        <v>2232878.861272499</v>
      </c>
      <c r="G18" s="60">
        <f t="shared" si="0"/>
        <v>2266372.0441915863</v>
      </c>
      <c r="H18" s="60">
        <f t="shared" si="0"/>
        <v>2300367.6248544599</v>
      </c>
      <c r="I18" s="60">
        <f t="shared" si="0"/>
        <v>2334873.1392272767</v>
      </c>
      <c r="J18" s="60">
        <f t="shared" si="0"/>
        <v>2369896.2363156858</v>
      </c>
      <c r="K18" s="60">
        <f t="shared" si="0"/>
        <v>2405444.679860421</v>
      </c>
      <c r="L18" s="60">
        <f t="shared" si="0"/>
        <v>2441526.350058327</v>
      </c>
    </row>
    <row r="19" spans="1:13" s="15" customFormat="1" x14ac:dyDescent="0.25">
      <c r="B19" s="45" t="s">
        <v>32</v>
      </c>
      <c r="C19" s="46">
        <f>D13*D2</f>
        <v>237260.00000000003</v>
      </c>
      <c r="D19" s="60">
        <f>C19*(1+$D$6)</f>
        <v>245564.1</v>
      </c>
      <c r="E19" s="60">
        <f t="shared" ref="E19:L19" si="1">D19*(1+$D$6)</f>
        <v>254158.84349999999</v>
      </c>
      <c r="F19" s="60">
        <f t="shared" si="1"/>
        <v>263054.40302249999</v>
      </c>
      <c r="G19" s="60">
        <f t="shared" si="1"/>
        <v>272261.30712828744</v>
      </c>
      <c r="H19" s="60">
        <f t="shared" si="1"/>
        <v>281790.45287777751</v>
      </c>
      <c r="I19" s="60">
        <f t="shared" si="1"/>
        <v>291653.11872849968</v>
      </c>
      <c r="J19" s="60">
        <f t="shared" si="1"/>
        <v>301860.97788399714</v>
      </c>
      <c r="K19" s="60">
        <f t="shared" si="1"/>
        <v>312426.11210993701</v>
      </c>
      <c r="L19" s="60">
        <f t="shared" si="1"/>
        <v>323361.02603378479</v>
      </c>
    </row>
    <row r="20" spans="1:13" s="15" customFormat="1" x14ac:dyDescent="0.25">
      <c r="B20" s="43" t="s">
        <v>48</v>
      </c>
      <c r="C20" s="46">
        <f>SUM(C17:C19)</f>
        <v>3372600</v>
      </c>
      <c r="D20" s="46">
        <f t="shared" ref="D20:L20" si="2">SUM(D17:D19)</f>
        <v>3412934.1999999997</v>
      </c>
      <c r="E20" s="46">
        <f t="shared" si="2"/>
        <v>3454039.4949999992</v>
      </c>
      <c r="F20" s="46">
        <f t="shared" si="2"/>
        <v>3495933.2642949987</v>
      </c>
      <c r="G20" s="46">
        <f t="shared" si="2"/>
        <v>3538633.3513198737</v>
      </c>
      <c r="H20" s="46">
        <f t="shared" si="2"/>
        <v>3582158.0777322375</v>
      </c>
      <c r="I20" s="46">
        <f t="shared" si="2"/>
        <v>3626526.2579557765</v>
      </c>
      <c r="J20" s="46">
        <f t="shared" si="2"/>
        <v>3671757.2141996827</v>
      </c>
      <c r="K20" s="46">
        <f t="shared" si="2"/>
        <v>3717870.7919703582</v>
      </c>
      <c r="L20" s="46">
        <f t="shared" si="2"/>
        <v>3764887.3760921117</v>
      </c>
    </row>
    <row r="21" spans="1:13" s="15" customFormat="1" x14ac:dyDescent="0.25">
      <c r="B21" s="45" t="s">
        <v>52</v>
      </c>
      <c r="C21" s="64">
        <f>NPV(D7,C20,D20,E20,F20,G20,H20,I20,J20,K20,L20)</f>
        <v>24861014.859334305</v>
      </c>
      <c r="E21" s="48"/>
      <c r="F21" s="48"/>
      <c r="G21" s="48"/>
      <c r="H21" s="48"/>
      <c r="I21" s="48"/>
      <c r="J21" s="48"/>
      <c r="K21" s="48"/>
      <c r="L21" s="48"/>
      <c r="M21" s="48"/>
    </row>
    <row r="22" spans="1:13" s="15" customFormat="1" x14ac:dyDescent="0.25">
      <c r="B22" s="58"/>
      <c r="C22" s="16"/>
      <c r="D22" s="35"/>
      <c r="E22" s="48"/>
      <c r="F22" s="48"/>
      <c r="G22" s="48"/>
      <c r="H22" s="48"/>
      <c r="I22" s="48"/>
      <c r="J22" s="48"/>
      <c r="K22" s="48"/>
      <c r="L22" s="48"/>
      <c r="M22" s="48"/>
    </row>
    <row r="23" spans="1:13" s="15" customFormat="1" x14ac:dyDescent="0.25">
      <c r="B23" s="16"/>
      <c r="C23" s="16"/>
      <c r="D23" s="37"/>
      <c r="E23" s="48"/>
      <c r="F23" s="48"/>
      <c r="G23" s="48"/>
      <c r="H23" s="48"/>
      <c r="I23" s="48"/>
      <c r="J23" s="48"/>
      <c r="K23" s="48"/>
      <c r="L23" s="48"/>
      <c r="M23" s="48"/>
    </row>
    <row r="24" spans="1:13" s="15" customFormat="1" x14ac:dyDescent="0.25">
      <c r="B24" s="38"/>
      <c r="C24" s="38"/>
      <c r="D24" s="35"/>
      <c r="E24" s="48"/>
      <c r="F24" s="48"/>
      <c r="G24" s="48"/>
      <c r="H24" s="48"/>
      <c r="I24" s="48"/>
      <c r="J24" s="48"/>
      <c r="K24" s="48"/>
      <c r="L24" s="48"/>
      <c r="M24" s="48"/>
    </row>
    <row r="25" spans="1:13" s="15" customFormat="1" x14ac:dyDescent="0.25">
      <c r="B25" s="16"/>
      <c r="C25" s="16"/>
      <c r="D25" s="51"/>
      <c r="E25" s="48"/>
      <c r="F25" s="48"/>
      <c r="G25" s="48"/>
      <c r="H25" s="48"/>
      <c r="I25" s="48"/>
      <c r="J25" s="48"/>
      <c r="K25" s="48"/>
      <c r="L25" s="48"/>
      <c r="M25" s="48"/>
    </row>
    <row r="26" spans="1:13" s="15" customFormat="1" x14ac:dyDescent="0.25">
      <c r="B26" s="38"/>
      <c r="C26" s="38"/>
      <c r="D26" s="35"/>
      <c r="E26" s="48"/>
      <c r="F26" s="48"/>
      <c r="G26" s="48"/>
      <c r="H26" s="48"/>
      <c r="I26" s="48"/>
      <c r="J26" s="48"/>
      <c r="K26" s="48"/>
      <c r="L26" s="48"/>
      <c r="M26" s="48"/>
    </row>
    <row r="27" spans="1:13" s="15" customFormat="1" x14ac:dyDescent="0.25">
      <c r="B27" s="38"/>
      <c r="C27" s="38"/>
      <c r="D27" s="36"/>
      <c r="E27" s="48"/>
      <c r="F27" s="48"/>
      <c r="G27" s="48"/>
      <c r="H27" s="48"/>
      <c r="I27" s="48"/>
      <c r="J27" s="48"/>
      <c r="K27" s="48"/>
      <c r="L27" s="48"/>
      <c r="M27" s="48"/>
    </row>
    <row r="28" spans="1:13" s="15" customFormat="1" x14ac:dyDescent="0.25">
      <c r="B28" s="38"/>
      <c r="C28" s="38"/>
      <c r="D28" s="36"/>
      <c r="E28" s="48"/>
      <c r="F28" s="48"/>
      <c r="G28" s="48"/>
      <c r="H28" s="48"/>
      <c r="I28" s="48"/>
      <c r="J28" s="48"/>
      <c r="K28" s="48"/>
      <c r="L28" s="48"/>
      <c r="M28" s="48"/>
    </row>
    <row r="29" spans="1:13" s="15" customFormat="1" x14ac:dyDescent="0.25">
      <c r="B29" s="38"/>
      <c r="C29" s="38"/>
      <c r="D29" s="36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15" customFormat="1" x14ac:dyDescent="0.25">
      <c r="B30" s="38"/>
      <c r="C30" s="38"/>
      <c r="D30" s="35"/>
      <c r="E30" s="48"/>
      <c r="F30" s="48"/>
      <c r="G30" s="48"/>
      <c r="H30" s="48"/>
      <c r="I30" s="48"/>
      <c r="J30" s="48"/>
      <c r="K30" s="48"/>
      <c r="L30" s="48"/>
      <c r="M30" s="48"/>
    </row>
  </sheetData>
  <mergeCells count="9">
    <mergeCell ref="A17:A18"/>
    <mergeCell ref="B1:C1"/>
    <mergeCell ref="B2:C2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70" zoomScaleNormal="1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RowHeight="15" x14ac:dyDescent="0.25"/>
  <cols>
    <col min="1" max="1" width="10.5703125" style="1" customWidth="1"/>
    <col min="2" max="2" width="33.42578125" style="4" customWidth="1"/>
    <col min="3" max="3" width="8.7109375" style="4" customWidth="1"/>
    <col min="4" max="7" width="17.140625" style="4" customWidth="1"/>
  </cols>
  <sheetData>
    <row r="1" spans="1:7" x14ac:dyDescent="0.25">
      <c r="B1" s="6" t="s">
        <v>7</v>
      </c>
      <c r="C1" s="6"/>
    </row>
    <row r="2" spans="1:7" s="1" customFormat="1" ht="14.25" customHeight="1" x14ac:dyDescent="0.25">
      <c r="B2" s="6"/>
      <c r="C2" s="6"/>
      <c r="D2" s="6" t="s">
        <v>9</v>
      </c>
      <c r="E2" s="6" t="s">
        <v>12</v>
      </c>
      <c r="F2" s="6" t="s">
        <v>15</v>
      </c>
      <c r="G2" s="6" t="s">
        <v>16</v>
      </c>
    </row>
    <row r="3" spans="1:7" s="1" customFormat="1" x14ac:dyDescent="0.25">
      <c r="B3" s="6" t="s">
        <v>19</v>
      </c>
      <c r="C3" s="33">
        <f>D3/D6</f>
        <v>0</v>
      </c>
      <c r="D3" s="21">
        <v>0</v>
      </c>
      <c r="E3" s="21">
        <v>15</v>
      </c>
      <c r="F3" s="21">
        <v>0</v>
      </c>
      <c r="G3" s="21">
        <v>15</v>
      </c>
    </row>
    <row r="4" spans="1:7" s="30" customFormat="1" x14ac:dyDescent="0.25">
      <c r="B4" s="31" t="s">
        <v>20</v>
      </c>
      <c r="C4" s="34">
        <f>D4/D6</f>
        <v>0.72727272727272729</v>
      </c>
      <c r="D4" s="32">
        <v>40</v>
      </c>
      <c r="E4" s="32">
        <v>20</v>
      </c>
      <c r="F4" s="32">
        <v>41</v>
      </c>
      <c r="G4" s="32">
        <v>20</v>
      </c>
    </row>
    <row r="5" spans="1:7" s="25" customFormat="1" x14ac:dyDescent="0.25">
      <c r="B5" s="22" t="s">
        <v>21</v>
      </c>
      <c r="C5" s="23">
        <f>D5/D6</f>
        <v>0.27272727272727271</v>
      </c>
      <c r="D5" s="26">
        <v>15</v>
      </c>
      <c r="E5" s="26">
        <v>9.5</v>
      </c>
      <c r="F5" s="26">
        <v>15</v>
      </c>
      <c r="G5" s="26">
        <v>16</v>
      </c>
    </row>
    <row r="6" spans="1:7" s="18" customFormat="1" x14ac:dyDescent="0.25">
      <c r="B6" s="19" t="s">
        <v>17</v>
      </c>
      <c r="C6" s="19"/>
      <c r="D6" s="20">
        <f>D4+D5</f>
        <v>55</v>
      </c>
      <c r="E6" s="20">
        <f>E4+E5</f>
        <v>29.5</v>
      </c>
      <c r="F6" s="20">
        <f>F4+F5</f>
        <v>56</v>
      </c>
      <c r="G6" s="20">
        <f>G4+G5</f>
        <v>36</v>
      </c>
    </row>
    <row r="7" spans="1:7" s="15" customFormat="1" x14ac:dyDescent="0.25">
      <c r="B7" s="16"/>
      <c r="C7" s="16"/>
      <c r="D7" s="17"/>
      <c r="E7" s="17"/>
      <c r="F7" s="17"/>
      <c r="G7" s="17"/>
    </row>
    <row r="8" spans="1:7" s="25" customFormat="1" x14ac:dyDescent="0.25">
      <c r="A8" s="111" t="s">
        <v>18</v>
      </c>
      <c r="B8" s="22" t="s">
        <v>22</v>
      </c>
      <c r="C8" s="22"/>
      <c r="D8" s="23"/>
      <c r="E8" s="24">
        <f t="shared" ref="E8:G11" si="0">D8</f>
        <v>0</v>
      </c>
      <c r="F8" s="24">
        <f t="shared" si="0"/>
        <v>0</v>
      </c>
      <c r="G8" s="24">
        <f t="shared" si="0"/>
        <v>0</v>
      </c>
    </row>
    <row r="9" spans="1:7" s="30" customFormat="1" x14ac:dyDescent="0.25">
      <c r="A9" s="111"/>
      <c r="B9" s="27" t="s">
        <v>6</v>
      </c>
      <c r="C9" s="27"/>
      <c r="D9" s="28"/>
      <c r="E9" s="29">
        <f t="shared" si="0"/>
        <v>0</v>
      </c>
      <c r="F9" s="29">
        <f t="shared" si="0"/>
        <v>0</v>
      </c>
      <c r="G9" s="29">
        <f t="shared" si="0"/>
        <v>0</v>
      </c>
    </row>
    <row r="10" spans="1:7" x14ac:dyDescent="0.25">
      <c r="B10" s="11" t="s">
        <v>4</v>
      </c>
      <c r="C10" s="11"/>
      <c r="D10" s="6">
        <v>165</v>
      </c>
      <c r="E10" s="4">
        <f t="shared" si="0"/>
        <v>165</v>
      </c>
      <c r="F10" s="4">
        <f t="shared" si="0"/>
        <v>165</v>
      </c>
      <c r="G10" s="4">
        <f t="shared" si="0"/>
        <v>165</v>
      </c>
    </row>
    <row r="11" spans="1:7" x14ac:dyDescent="0.25">
      <c r="B11" s="11" t="s">
        <v>5</v>
      </c>
      <c r="C11" s="11"/>
      <c r="D11" s="7">
        <f>D10*365</f>
        <v>60225</v>
      </c>
      <c r="E11" s="12">
        <f t="shared" si="0"/>
        <v>60225</v>
      </c>
      <c r="F11" s="12">
        <f t="shared" si="0"/>
        <v>60225</v>
      </c>
      <c r="G11" s="12">
        <f t="shared" si="0"/>
        <v>60225</v>
      </c>
    </row>
    <row r="12" spans="1:7" s="1" customFormat="1" x14ac:dyDescent="0.25">
      <c r="B12" s="11" t="s">
        <v>8</v>
      </c>
      <c r="C12" s="11"/>
      <c r="D12" s="13">
        <f>D11*D5</f>
        <v>903375</v>
      </c>
      <c r="E12" s="13">
        <f>E11*E5</f>
        <v>572137.5</v>
      </c>
      <c r="F12" s="13">
        <f>F11*F5</f>
        <v>903375</v>
      </c>
      <c r="G12" s="13">
        <f>G11*G5</f>
        <v>963600</v>
      </c>
    </row>
    <row r="13" spans="1:7" s="1" customFormat="1" x14ac:dyDescent="0.25">
      <c r="B13" s="11" t="s">
        <v>13</v>
      </c>
      <c r="C13" s="11"/>
      <c r="D13" s="11">
        <v>10</v>
      </c>
      <c r="E13" s="4">
        <f>D13</f>
        <v>10</v>
      </c>
      <c r="F13" s="4">
        <f>E13</f>
        <v>10</v>
      </c>
      <c r="G13" s="4">
        <f>F13</f>
        <v>10</v>
      </c>
    </row>
    <row r="14" spans="1:7" s="1" customFormat="1" x14ac:dyDescent="0.25">
      <c r="B14" s="11" t="s">
        <v>0</v>
      </c>
      <c r="C14" s="11"/>
      <c r="D14" s="13">
        <f>D12*D13</f>
        <v>9033750</v>
      </c>
      <c r="E14" s="13">
        <f>E12*E13</f>
        <v>5721375</v>
      </c>
      <c r="F14" s="13">
        <f>F12*F13</f>
        <v>9033750</v>
      </c>
      <c r="G14" s="13">
        <f>G12*G13</f>
        <v>9636000</v>
      </c>
    </row>
    <row r="15" spans="1:7" s="1" customFormat="1" x14ac:dyDescent="0.25">
      <c r="B15" s="4"/>
      <c r="C15" s="4"/>
      <c r="D15" s="4"/>
      <c r="E15" s="4"/>
      <c r="F15" s="4"/>
      <c r="G15" s="4"/>
    </row>
    <row r="16" spans="1:7" x14ac:dyDescent="0.25">
      <c r="B16" s="11" t="s">
        <v>14</v>
      </c>
      <c r="C16" s="11"/>
      <c r="D16" s="14">
        <f>D14+D4</f>
        <v>9033790</v>
      </c>
      <c r="E16" s="14">
        <f>E4+E14</f>
        <v>5721395</v>
      </c>
      <c r="F16" s="14">
        <f>F4+F14</f>
        <v>9033791</v>
      </c>
      <c r="G16" s="14">
        <f>G4+G14</f>
        <v>9636020</v>
      </c>
    </row>
    <row r="18" spans="2:6" ht="30" x14ac:dyDescent="0.25">
      <c r="B18" s="4" t="s">
        <v>2</v>
      </c>
      <c r="D18" s="8">
        <v>0.95</v>
      </c>
      <c r="E18" s="9"/>
      <c r="F18" s="9"/>
    </row>
    <row r="19" spans="2:6" ht="30" x14ac:dyDescent="0.25">
      <c r="B19" s="4" t="s">
        <v>1</v>
      </c>
      <c r="D19" s="8" t="s">
        <v>3</v>
      </c>
      <c r="E19" s="5"/>
      <c r="F19" s="9"/>
    </row>
    <row r="20" spans="2:6" ht="30" x14ac:dyDescent="0.25">
      <c r="B20" s="4" t="s">
        <v>10</v>
      </c>
      <c r="D20" s="10" t="s">
        <v>11</v>
      </c>
      <c r="E20" s="5"/>
      <c r="F20" s="9"/>
    </row>
  </sheetData>
  <mergeCells count="1">
    <mergeCell ref="A8:A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38" ma:contentTypeDescription="Create a new document." ma:contentTypeScope="" ma:versionID="70b5e48113101c5eae8b39b1903d09ff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64b059bb4c4d023de519ecb3bf4a46ad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c0086056-5044-4a33-b29f-c75672ab2bba">Addendum 2</Doc_x0020_Type>
    <_dlc_DocId xmlns="53dbc0f4-2d3d-44b3-9905-25b4807b1361">EV5DVUR6RRZR-1275146407-32072</_dlc_DocId>
    <_dlc_DocIdUrl xmlns="53dbc0f4-2d3d-44b3-9905-25b4807b1361">
      <Url>http://finance/supply/pba/_layouts/15/DocIdRedir.aspx?ID=EV5DVUR6RRZR-1275146407-32072</Url>
      <Description>EV5DVUR6RRZR-1275146407-32072</Description>
    </_dlc_DocIdUrl>
    <contract_x0020_document xmlns="c0086056-5044-4a33-b29f-c75672ab2bba">false</contract_x0020_document>
    <S_Year xmlns="c0086056-5044-4a33-b29f-c75672ab2bba">2018</S_Year>
    <Spec_x0020__x0023_ xmlns="af23f7e8-60b8-4754-8d26-933e50c84a94">893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157-18</Spec_x0020__x0023_>
    <EmailCc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3D1E7-AEF2-433D-BC45-4A919FB4A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64700-B7EF-4DFD-BCFC-CE2DFBB3F5CC}">
  <ds:schemaRefs>
    <ds:schemaRef ds:uri="b3fec781-62d2-4f50-9b0f-56b6ddda0866"/>
    <ds:schemaRef ds:uri="http://purl.org/dc/elements/1.1/"/>
    <ds:schemaRef ds:uri="http://schemas.microsoft.com/office/2006/metadata/properties"/>
    <ds:schemaRef ds:uri="a6a118c7-e855-4f4e-b8ad-80e33b796d81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c0086056-5044-4a33-b29f-c75672ab2bba"/>
    <ds:schemaRef ds:uri="http://purl.org/dc/dcmitype/"/>
    <ds:schemaRef ds:uri="af23f7e8-60b8-4754-8d26-933e50c84a94"/>
    <ds:schemaRef ds:uri="53dbc0f4-2d3d-44b3-9905-25b4807b1361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899723-ED66-4724-87E2-51CFCB5EC5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Company 1 NPV</vt:lpstr>
      <vt:lpstr>Fuel</vt:lpstr>
      <vt:lpstr>CPI - O&amp;M</vt:lpstr>
      <vt:lpstr>CPI - Trucking</vt:lpstr>
      <vt:lpstr>Utilities</vt:lpstr>
      <vt:lpstr>Bid Workbook</vt:lpstr>
      <vt:lpstr>pricing thoughts</vt:lpstr>
      <vt:lpstr>'Company 1 NPV'!Print_Area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JEA User</cp:lastModifiedBy>
  <cp:lastPrinted>2018-12-19T20:11:51Z</cp:lastPrinted>
  <dcterms:created xsi:type="dcterms:W3CDTF">2014-08-04T19:09:14Z</dcterms:created>
  <dcterms:modified xsi:type="dcterms:W3CDTF">2018-12-21T19:24:51Z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6f20db0c-306b-44c9-827d-057cadea7d57</vt:lpwstr>
  </property>
  <property fmtid="{D5CDD505-2E9C-101B-9397-08002B2CF9AE}" pid="4" name="Order">
    <vt:r8>971200</vt:r8>
  </property>
  <property fmtid="{D5CDD505-2E9C-101B-9397-08002B2CF9AE}" pid="5" name="WorkflowChangePath">
    <vt:lpwstr>61d9574a-9c99-4df8-81a6-c4c1a4d372d7,16;61d9574a-9c99-4df8-81a6-c4c1a4d372d7,16;61d9574a-9c99-4df8-81a6-c4c1a4d372d7,19;61d9574a-9c99-4df8-81a6-c4c1a4d372d7,19;61d9574a-9c99-4df8-81a6-c4c1a4d372d7,22;61d9574a-9c99-4df8-81a6-c4c1a4d372d7,22;61d9574a-9c99-4</vt:lpwstr>
  </property>
</Properties>
</file>